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S:\COMPTA-DIRECTION\CABINET COMPTABLE-CAC\2023\LIMOUSIN LOCTRANS\Cycle Immo\2023 12 - Etats Immos\"/>
    </mc:Choice>
  </mc:AlternateContent>
  <xr:revisionPtr revIDLastSave="0" documentId="13_ncr:1_{02FC056D-FF83-403F-9312-434A430F6F9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orksheet" sheetId="1" r:id="rId1"/>
  </sheets>
  <definedNames>
    <definedName name="Rupture1_a___d_un_an">Worksheet!$M$14</definedName>
    <definedName name="Rupture1_Amortissement_anterieur">Worksheet!$I$14</definedName>
    <definedName name="Rupture1_Amortissement_exercice">Worksheet!$J$14</definedName>
    <definedName name="Rupture1_Base_amortissable">Worksheet!$H$14</definedName>
    <definedName name="Rupture1_Controle_1_Total_global">Worksheet!$T$14</definedName>
    <definedName name="Rupture1_Controle_2_VNC_RAP">Worksheet!$U$14</definedName>
    <definedName name="Rupture1_Controle_3_Total_amort">Worksheet!$V$14</definedName>
    <definedName name="Rupture1_de_1_a_5_ans">Worksheet!$N$14</definedName>
    <definedName name="Rupture1_Plus_de_5_ans">Worksheet!$O$14</definedName>
    <definedName name="Rupture1_Prix_acquisition">Worksheet!$G$14</definedName>
    <definedName name="Rupture1_Total_amort">Worksheet!$K$14</definedName>
    <definedName name="Rupture1_Valeur_sortie">Worksheet!$R$14</definedName>
    <definedName name="Rupture1_VNCEAC">Worksheet!$L$14</definedName>
    <definedName name="Rupture1_VR">Worksheet!$P$14</definedName>
    <definedName name="Rupture2_a___d_un_an">Worksheet!$M$16</definedName>
    <definedName name="Rupture2_Amortissement_anterieur">Worksheet!$I$16</definedName>
    <definedName name="Rupture2_Amortissement_exercice">Worksheet!$J$16</definedName>
    <definedName name="Rupture2_Base_amortissable">Worksheet!$H$16</definedName>
    <definedName name="Rupture2_Controle_1_Total_global">Worksheet!$T$16</definedName>
    <definedName name="Rupture2_Controle_2_VNC_RAP">Worksheet!$U$16</definedName>
    <definedName name="Rupture2_Controle_3_Total_amort">Worksheet!$V$16</definedName>
    <definedName name="Rupture2_de_1_a_5_ans">Worksheet!$N$16</definedName>
    <definedName name="Rupture2_Plus_de_5_ans">Worksheet!$O$16</definedName>
    <definedName name="Rupture2_Prix_acquisition">Worksheet!$G$16</definedName>
    <definedName name="Rupture2_Total_amort">Worksheet!$K$16</definedName>
    <definedName name="Rupture2_Valeur_sortie">Worksheet!$R$16</definedName>
    <definedName name="Rupture2_VNCEAC">Worksheet!$L$16</definedName>
    <definedName name="Rupture2_VR">Worksheet!$P$16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1" l="1"/>
  <c r="I16" i="1"/>
  <c r="H16" i="1"/>
  <c r="G16" i="1"/>
  <c r="U14" i="1"/>
  <c r="U16" i="1" s="1"/>
  <c r="R14" i="1"/>
  <c r="R16" i="1" s="1"/>
  <c r="P14" i="1"/>
  <c r="P16" i="1" s="1"/>
  <c r="O14" i="1"/>
  <c r="O16" i="1" s="1"/>
  <c r="N14" i="1"/>
  <c r="N16" i="1" s="1"/>
  <c r="M14" i="1"/>
  <c r="M16" i="1" s="1"/>
  <c r="L14" i="1"/>
  <c r="L16" i="1" s="1"/>
  <c r="K14" i="1"/>
  <c r="K16" i="1" s="1"/>
  <c r="J14" i="1"/>
  <c r="I14" i="1"/>
  <c r="H14" i="1"/>
  <c r="G14" i="1"/>
  <c r="V13" i="1"/>
  <c r="U13" i="1"/>
  <c r="T13" i="1"/>
  <c r="V12" i="1"/>
  <c r="U12" i="1"/>
  <c r="T12" i="1"/>
  <c r="V11" i="1"/>
  <c r="U11" i="1"/>
  <c r="T11" i="1"/>
  <c r="V10" i="1"/>
  <c r="U10" i="1"/>
  <c r="T10" i="1"/>
  <c r="V9" i="1"/>
  <c r="U9" i="1"/>
  <c r="T9" i="1"/>
  <c r="V8" i="1"/>
  <c r="U8" i="1"/>
  <c r="T8" i="1"/>
  <c r="V7" i="1"/>
  <c r="V14" i="1" s="1"/>
  <c r="V16" i="1" s="1"/>
  <c r="U7" i="1"/>
  <c r="T7" i="1"/>
  <c r="V6" i="1"/>
  <c r="U6" i="1"/>
  <c r="T6" i="1"/>
  <c r="V5" i="1"/>
  <c r="U5" i="1"/>
  <c r="T5" i="1"/>
  <c r="V4" i="1"/>
  <c r="U4" i="1"/>
  <c r="T4" i="1"/>
  <c r="T14" i="1" s="1"/>
  <c r="T16" i="1" s="1"/>
</calcChain>
</file>

<file path=xl/sharedStrings.xml><?xml version="1.0" encoding="utf-8"?>
<sst xmlns="http://schemas.openxmlformats.org/spreadsheetml/2006/main" count="53" uniqueCount="45">
  <si>
    <t>Récapitulatif annuel des immobilisations sorties pendant l'exercice</t>
  </si>
  <si>
    <t>Numéro</t>
  </si>
  <si>
    <t>Intitulé</t>
  </si>
  <si>
    <t>Début</t>
  </si>
  <si>
    <t>Fin</t>
  </si>
  <si>
    <t>Durée</t>
  </si>
  <si>
    <t>Type</t>
  </si>
  <si>
    <t>Prix acquisition</t>
  </si>
  <si>
    <t>Base amortissable</t>
  </si>
  <si>
    <t>Amortissement antérieur</t>
  </si>
  <si>
    <t>Amortissement exercice</t>
  </si>
  <si>
    <t>Total amort</t>
  </si>
  <si>
    <t>VNCEAC</t>
  </si>
  <si>
    <t>à - d'un an</t>
  </si>
  <si>
    <t>de 1 à 5 ans</t>
  </si>
  <si>
    <t>Plus de 5 ans</t>
  </si>
  <si>
    <t>VR</t>
  </si>
  <si>
    <t>Sortie</t>
  </si>
  <si>
    <t>Valeur sortie</t>
  </si>
  <si>
    <t>Prix cession</t>
  </si>
  <si>
    <t>Contrôle 1 Total global</t>
  </si>
  <si>
    <t>Contrôle 2 VNC RAP</t>
  </si>
  <si>
    <t>Contrôle 3 Total amort</t>
  </si>
  <si>
    <t>2/0000249</t>
  </si>
  <si>
    <t>00574000-T152 - ACHAT FIN CONTRAT</t>
  </si>
  <si>
    <t>2/0000347</t>
  </si>
  <si>
    <t>T163 - ACHAT FIN CONTRAT</t>
  </si>
  <si>
    <t>Linéaire</t>
  </si>
  <si>
    <t>2/0000221</t>
  </si>
  <si>
    <t>00528000-T140 - ACHAT FIN CONTRAT</t>
  </si>
  <si>
    <t>2/0000227</t>
  </si>
  <si>
    <t>00546000-T145 - ACHAT FIN CONTRAT</t>
  </si>
  <si>
    <t>2/0000205</t>
  </si>
  <si>
    <t>00499000-ACHAT P057 SUITE FINANCEMENT</t>
  </si>
  <si>
    <t>2/0000206</t>
  </si>
  <si>
    <t>00500000-ACHAT P056 SUITE FINANCEMENT</t>
  </si>
  <si>
    <t>2/0000270</t>
  </si>
  <si>
    <t>00590000-T153 - ACHAT FIN CONTRAT</t>
  </si>
  <si>
    <t>2/0000340</t>
  </si>
  <si>
    <t>00664000-T159 - ACHAT FIN CONTRAT</t>
  </si>
  <si>
    <t>2/0000237</t>
  </si>
  <si>
    <t>00562000-T143 - ACHAT FIN CONTRAT</t>
  </si>
  <si>
    <t>2/0000076</t>
  </si>
  <si>
    <t>00268000-SEMI BE245EJ S149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</si>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</sst>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2" x14ac:knownFonts="1">
    <font>
      <sz val="11"/>
      <color rgb="FF000000"/>
      <name val="Calibri"/>
    </font>
    <font>
      <b/>
      <sz val="12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80"/>
        <bgColor rgb="FFFFFF80"/>
      </patternFill>
    </fill>
    <fill>
      <patternFill patternType="solid">
        <fgColor rgb="FFFFFF00"/>
        <bgColor rgb="FFFFFF8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0" borderId="0" xfId="0" applyNumberFormat="1"/>
    <xf numFmtId="14" fontId="0" fillId="0" borderId="0" xfId="0" applyNumberFormat="1"/>
    <xf numFmtId="4" fontId="0" fillId="0" borderId="0" xfId="0" applyNumberFormat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0" fillId="0" borderId="7" xfId="0" applyBorder="1"/>
    <xf numFmtId="14" fontId="0" fillId="0" borderId="7" xfId="0" applyNumberFormat="1" applyBorder="1"/>
    <xf numFmtId="164" fontId="0" fillId="0" borderId="7" xfId="0" applyNumberFormat="1" applyBorder="1"/>
    <xf numFmtId="4" fontId="0" fillId="0" borderId="7" xfId="0" applyNumberFormat="1" applyBorder="1"/>
    <xf numFmtId="0" fontId="0" fillId="0" borderId="8" xfId="0" applyBorder="1"/>
    <xf numFmtId="14" fontId="0" fillId="0" borderId="8" xfId="0" applyNumberFormat="1" applyBorder="1"/>
    <xf numFmtId="164" fontId="0" fillId="0" borderId="8" xfId="0" applyNumberFormat="1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1" xfId="0" applyBorder="1"/>
    <xf numFmtId="0" fontId="0" fillId="0" borderId="2" xfId="0" applyBorder="1"/>
    <xf numFmtId="4" fontId="0" fillId="0" borderId="2" xfId="0" applyNumberFormat="1" applyBorder="1"/>
    <xf numFmtId="4" fontId="0" fillId="0" borderId="3" xfId="0" applyNumberFormat="1" applyBorder="1"/>
    <xf numFmtId="0" fontId="0" fillId="2" borderId="1" xfId="0" applyFill="1" applyBorder="1"/>
    <xf numFmtId="0" fontId="0" fillId="2" borderId="2" xfId="0" applyFill="1" applyBorder="1"/>
    <xf numFmtId="4" fontId="0" fillId="2" borderId="2" xfId="0" applyNumberFormat="1" applyFill="1" applyBorder="1"/>
    <xf numFmtId="4" fontId="0" fillId="2" borderId="3" xfId="0" applyNumberFormat="1" applyFill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3" borderId="2" xfId="0" applyFill="1" applyBorder="1" applyAlignment="1">
      <alignment horizontal="center"/>
    </xf>
    <xf numFmtId="4" fontId="0" fillId="4" borderId="7" xfId="0" applyNumberFormat="1" applyFill="1" applyBorder="1"/>
    <xf numFmtId="4" fontId="0" fillId="4" borderId="0" xfId="0" applyNumberFormat="1" applyFill="1"/>
    <xf numFmtId="4" fontId="0" fillId="4" borderId="8" xfId="0" applyNumberFormat="1" applyFill="1" applyBorder="1"/>
    <xf numFmtId="4" fontId="0" fillId="4" borderId="2" xfId="0" applyNumberFormat="1" applyFill="1" applyBorder="1"/>
    <xf numFmtId="0" fontId="0" fillId="4" borderId="0" xfId="0" applyFill="1"/>
    <xf numFmtId="4" fontId="0" fillId="3" borderId="2" xfId="0" applyNumberFormat="1" applyFill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"/>
  <sheetViews>
    <sheetView tabSelected="1" workbookViewId="0">
      <pane xSplit="2" ySplit="3" topLeftCell="I4" activePane="bottomRight" state="frozen"/>
      <selection pane="topRight" activeCell="C1" sqref="C1"/>
      <selection pane="bottomLeft" activeCell="A4" sqref="A4"/>
      <selection pane="bottomRight" activeCell="R7" sqref="I7:R7"/>
    </sheetView>
  </sheetViews>
  <sheetFormatPr baseColWidth="10" defaultColWidth="9.140625" defaultRowHeight="15" x14ac:dyDescent="0.25"/>
  <cols>
    <col min="1" max="1" width="13" customWidth="1"/>
    <col min="2" max="2" width="52" customWidth="1"/>
    <col min="3" max="4" width="14" customWidth="1"/>
    <col min="5" max="5" width="7" customWidth="1"/>
    <col min="6" max="6" width="12" customWidth="1"/>
    <col min="7" max="7" width="22" customWidth="1"/>
    <col min="8" max="8" width="25" customWidth="1"/>
    <col min="9" max="9" width="33" customWidth="1"/>
    <col min="10" max="10" width="31" customWidth="1"/>
    <col min="11" max="11" width="15" customWidth="1"/>
    <col min="12" max="12" width="13" customWidth="1"/>
    <col min="13" max="13" width="15" customWidth="1"/>
    <col min="14" max="14" width="18" customWidth="1"/>
    <col min="15" max="15" width="19" customWidth="1"/>
    <col min="16" max="16" width="6" customWidth="1"/>
    <col min="17" max="17" width="14" customWidth="1"/>
    <col min="18" max="18" width="19" customWidth="1"/>
    <col min="19" max="19" width="18" customWidth="1"/>
    <col min="20" max="20" width="33" customWidth="1"/>
    <col min="21" max="22" width="26" customWidth="1"/>
    <col min="26" max="26" width="9.140625" customWidth="1"/>
  </cols>
  <sheetData>
    <row r="1" spans="1:22" ht="15.75" x14ac:dyDescent="0.2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3" spans="1:22" x14ac:dyDescent="0.2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31" t="s">
        <v>18</v>
      </c>
      <c r="S3" s="2" t="s">
        <v>19</v>
      </c>
      <c r="T3" s="2" t="s">
        <v>20</v>
      </c>
      <c r="U3" s="2" t="s">
        <v>21</v>
      </c>
      <c r="V3" s="3" t="s">
        <v>22</v>
      </c>
    </row>
    <row r="4" spans="1:22" x14ac:dyDescent="0.25">
      <c r="A4" s="7" t="s">
        <v>23</v>
      </c>
      <c r="B4" s="10" t="s">
        <v>24</v>
      </c>
      <c r="C4" s="11">
        <v>44575</v>
      </c>
      <c r="D4" s="11">
        <v>45274</v>
      </c>
      <c r="E4" s="12">
        <v>24</v>
      </c>
      <c r="F4" s="10"/>
      <c r="G4" s="13">
        <v>5000</v>
      </c>
      <c r="H4" s="13">
        <v>5000</v>
      </c>
      <c r="I4" s="13">
        <v>2411</v>
      </c>
      <c r="J4" s="13">
        <v>2291.63</v>
      </c>
      <c r="K4" s="13">
        <v>4702.63</v>
      </c>
      <c r="L4" s="13">
        <v>297.37</v>
      </c>
      <c r="M4" s="13">
        <v>0</v>
      </c>
      <c r="N4" s="13">
        <v>0</v>
      </c>
      <c r="O4" s="13">
        <v>0</v>
      </c>
      <c r="P4" s="13">
        <v>0</v>
      </c>
      <c r="Q4" s="11">
        <v>45245</v>
      </c>
      <c r="R4" s="32">
        <v>401.53</v>
      </c>
      <c r="S4" s="13">
        <v>13000</v>
      </c>
      <c r="T4" s="13">
        <f>IF(Q4=0,H4-I4-J4-4-R4,0)</f>
        <v>0</v>
      </c>
      <c r="U4" s="13">
        <f>IF(Q4=0,4-M4-N4-O4,0)</f>
        <v>0</v>
      </c>
      <c r="V4" s="18">
        <f t="shared" ref="V4:V13" si="0">IF(Q4=0,K4-I4-J4,0)</f>
        <v>0</v>
      </c>
    </row>
    <row r="5" spans="1:22" x14ac:dyDescent="0.25">
      <c r="A5" s="8" t="s">
        <v>25</v>
      </c>
      <c r="B5" t="s">
        <v>26</v>
      </c>
      <c r="C5" s="5">
        <v>45173</v>
      </c>
      <c r="D5" s="5">
        <v>45873</v>
      </c>
      <c r="E5" s="4">
        <v>24</v>
      </c>
      <c r="F5" t="s">
        <v>27</v>
      </c>
      <c r="G5" s="6">
        <v>4700</v>
      </c>
      <c r="H5" s="6">
        <v>4700</v>
      </c>
      <c r="I5" s="6">
        <v>0</v>
      </c>
      <c r="J5" s="6">
        <v>187.5</v>
      </c>
      <c r="K5" s="6">
        <v>187.5</v>
      </c>
      <c r="L5" s="6">
        <v>4512.5</v>
      </c>
      <c r="M5" s="6">
        <v>0</v>
      </c>
      <c r="N5" s="6">
        <v>0</v>
      </c>
      <c r="O5" s="6">
        <v>0</v>
      </c>
      <c r="P5" s="6">
        <v>0</v>
      </c>
      <c r="Q5" s="5">
        <v>45184</v>
      </c>
      <c r="R5" s="33">
        <v>4602.08</v>
      </c>
      <c r="S5" s="6">
        <v>14000</v>
      </c>
      <c r="T5" s="6">
        <f>IF(Q5=0,H5-I5-J5-5-R5,0)</f>
        <v>0</v>
      </c>
      <c r="U5" s="6">
        <f>IF(Q5=0,5-M5-N5-O5,0)</f>
        <v>0</v>
      </c>
      <c r="V5" s="19">
        <f t="shared" si="0"/>
        <v>0</v>
      </c>
    </row>
    <row r="6" spans="1:22" x14ac:dyDescent="0.25">
      <c r="A6" s="8" t="s">
        <v>28</v>
      </c>
      <c r="B6" t="s">
        <v>29</v>
      </c>
      <c r="C6" s="5">
        <v>44215</v>
      </c>
      <c r="D6" s="5">
        <v>44914</v>
      </c>
      <c r="E6" s="4">
        <v>24</v>
      </c>
      <c r="F6" t="s">
        <v>27</v>
      </c>
      <c r="G6" s="6">
        <v>930</v>
      </c>
      <c r="H6" s="6">
        <v>930</v>
      </c>
      <c r="I6" s="6">
        <v>908</v>
      </c>
      <c r="J6" s="6">
        <v>22</v>
      </c>
      <c r="K6" s="6">
        <v>930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5">
        <v>45163</v>
      </c>
      <c r="R6" s="33">
        <v>0</v>
      </c>
      <c r="S6" s="6">
        <v>23000</v>
      </c>
      <c r="T6" s="6">
        <f>IF(Q6=0,H6-I6-J6-6-R6,0)</f>
        <v>0</v>
      </c>
      <c r="U6" s="6">
        <f>IF(Q6=0,6-M6-N6-O6,0)</f>
        <v>0</v>
      </c>
      <c r="V6" s="19">
        <f t="shared" si="0"/>
        <v>0</v>
      </c>
    </row>
    <row r="7" spans="1:22" x14ac:dyDescent="0.25">
      <c r="A7" s="8" t="s">
        <v>30</v>
      </c>
      <c r="B7" t="s">
        <v>31</v>
      </c>
      <c r="C7" s="5">
        <v>44382</v>
      </c>
      <c r="D7" s="5">
        <v>45082</v>
      </c>
      <c r="E7" s="4">
        <v>24</v>
      </c>
      <c r="F7" t="s">
        <v>27</v>
      </c>
      <c r="G7" s="6">
        <v>5000</v>
      </c>
      <c r="H7" s="6">
        <v>5000</v>
      </c>
      <c r="I7" s="6">
        <v>3733</v>
      </c>
      <c r="J7" s="6">
        <v>1267</v>
      </c>
      <c r="K7" s="6">
        <v>5000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5">
        <v>45163</v>
      </c>
      <c r="R7" s="33">
        <v>17.02</v>
      </c>
      <c r="S7" s="6">
        <v>27000</v>
      </c>
      <c r="T7" s="6">
        <f>IF(Q7=0,H7-I7-J7-7-R7,0)</f>
        <v>0</v>
      </c>
      <c r="U7" s="6">
        <f>IF(Q7=0,7-M7-N7-O7,0)</f>
        <v>0</v>
      </c>
      <c r="V7" s="19">
        <f t="shared" si="0"/>
        <v>0</v>
      </c>
    </row>
    <row r="8" spans="1:22" x14ac:dyDescent="0.25">
      <c r="A8" s="8" t="s">
        <v>32</v>
      </c>
      <c r="B8" t="s">
        <v>33</v>
      </c>
      <c r="C8" s="5">
        <v>44028</v>
      </c>
      <c r="D8" s="5">
        <v>44728</v>
      </c>
      <c r="E8" s="4">
        <v>24</v>
      </c>
      <c r="F8" t="s">
        <v>27</v>
      </c>
      <c r="G8" s="6">
        <v>7500</v>
      </c>
      <c r="H8" s="6">
        <v>7500</v>
      </c>
      <c r="I8" s="6">
        <v>7500</v>
      </c>
      <c r="J8" s="6">
        <v>0</v>
      </c>
      <c r="K8" s="6">
        <v>7500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5">
        <v>44960</v>
      </c>
      <c r="R8" s="33">
        <v>0</v>
      </c>
      <c r="S8" s="6">
        <v>6500</v>
      </c>
      <c r="T8" s="6">
        <f>IF(Q8=0,H8-I8-J8-8-R8,0)</f>
        <v>0</v>
      </c>
      <c r="U8" s="6">
        <f>IF(Q8=0,8-M8-N8-O8,0)</f>
        <v>0</v>
      </c>
      <c r="V8" s="19">
        <f t="shared" si="0"/>
        <v>0</v>
      </c>
    </row>
    <row r="9" spans="1:22" x14ac:dyDescent="0.25">
      <c r="A9" s="8" t="s">
        <v>34</v>
      </c>
      <c r="B9" t="s">
        <v>35</v>
      </c>
      <c r="C9" s="5">
        <v>44028</v>
      </c>
      <c r="D9" s="5">
        <v>44728</v>
      </c>
      <c r="E9" s="4">
        <v>24</v>
      </c>
      <c r="F9" t="s">
        <v>27</v>
      </c>
      <c r="G9" s="6">
        <v>7500</v>
      </c>
      <c r="H9" s="6">
        <v>7500</v>
      </c>
      <c r="I9" s="6">
        <v>7500</v>
      </c>
      <c r="J9" s="6">
        <v>0</v>
      </c>
      <c r="K9" s="6">
        <v>7500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5">
        <v>44960</v>
      </c>
      <c r="R9" s="33">
        <v>0</v>
      </c>
      <c r="S9" s="6">
        <v>6500</v>
      </c>
      <c r="T9" s="6">
        <f>IF(Q9=0,H9-I9-J9-9-R9,0)</f>
        <v>0</v>
      </c>
      <c r="U9" s="6">
        <f>IF(Q9=0,9-M9-N9-O9,0)</f>
        <v>0</v>
      </c>
      <c r="V9" s="19">
        <f t="shared" si="0"/>
        <v>0</v>
      </c>
    </row>
    <row r="10" spans="1:22" x14ac:dyDescent="0.25">
      <c r="A10" s="8" t="s">
        <v>36</v>
      </c>
      <c r="B10" t="s">
        <v>37</v>
      </c>
      <c r="C10" s="5">
        <v>44694</v>
      </c>
      <c r="D10" s="5">
        <v>45395</v>
      </c>
      <c r="E10" s="4">
        <v>24</v>
      </c>
      <c r="F10" t="s">
        <v>27</v>
      </c>
      <c r="G10" s="6">
        <v>2000</v>
      </c>
      <c r="H10" s="6">
        <v>2000</v>
      </c>
      <c r="I10" s="6">
        <v>639</v>
      </c>
      <c r="J10" s="6">
        <v>166.66</v>
      </c>
      <c r="K10" s="6">
        <v>805.66</v>
      </c>
      <c r="L10" s="6">
        <v>1194.3399999999999</v>
      </c>
      <c r="M10" s="6">
        <v>0</v>
      </c>
      <c r="N10" s="6">
        <v>0</v>
      </c>
      <c r="O10" s="6">
        <v>0</v>
      </c>
      <c r="P10" s="6">
        <v>0</v>
      </c>
      <c r="Q10" s="5">
        <v>44960</v>
      </c>
      <c r="R10" s="33">
        <v>1268.74</v>
      </c>
      <c r="S10" s="6">
        <v>14000</v>
      </c>
      <c r="T10" s="6">
        <f>IF(Q10=0,H10-I10-J10-10-R10,0)</f>
        <v>0</v>
      </c>
      <c r="U10" s="6">
        <f>IF(Q10=0,10-M10-N10-O10,0)</f>
        <v>0</v>
      </c>
      <c r="V10" s="19">
        <f t="shared" si="0"/>
        <v>0</v>
      </c>
    </row>
    <row r="11" spans="1:22" x14ac:dyDescent="0.25">
      <c r="A11" s="8" t="s">
        <v>38</v>
      </c>
      <c r="B11" t="s">
        <v>39</v>
      </c>
      <c r="C11" s="5">
        <v>45016</v>
      </c>
      <c r="D11" s="5">
        <v>45716</v>
      </c>
      <c r="E11" s="4">
        <v>24</v>
      </c>
      <c r="F11" t="s">
        <v>27</v>
      </c>
      <c r="G11" s="6">
        <v>5000</v>
      </c>
      <c r="H11" s="6">
        <v>5000</v>
      </c>
      <c r="I11" s="6">
        <v>0</v>
      </c>
      <c r="J11" s="6">
        <v>0</v>
      </c>
      <c r="K11" s="6">
        <v>0</v>
      </c>
      <c r="L11" s="6">
        <v>5000</v>
      </c>
      <c r="M11" s="6">
        <v>0</v>
      </c>
      <c r="N11" s="6">
        <v>0</v>
      </c>
      <c r="O11" s="6">
        <v>0</v>
      </c>
      <c r="P11" s="6">
        <v>0</v>
      </c>
      <c r="Q11" s="5">
        <v>44960</v>
      </c>
      <c r="R11" s="33">
        <v>0</v>
      </c>
      <c r="S11" s="6">
        <v>15000</v>
      </c>
      <c r="T11" s="6">
        <f>IF(Q11=0,H11-I11-J11-11-R11,0)</f>
        <v>0</v>
      </c>
      <c r="U11" s="6">
        <f>IF(Q11=0,11-M11-N11-O11,0)</f>
        <v>0</v>
      </c>
      <c r="V11" s="19">
        <f t="shared" si="0"/>
        <v>0</v>
      </c>
    </row>
    <row r="12" spans="1:22" x14ac:dyDescent="0.25">
      <c r="A12" s="8" t="s">
        <v>40</v>
      </c>
      <c r="B12" t="s">
        <v>41</v>
      </c>
      <c r="C12" s="5">
        <v>44505</v>
      </c>
      <c r="D12" s="5">
        <v>45204</v>
      </c>
      <c r="E12" s="4">
        <v>24</v>
      </c>
      <c r="F12" t="s">
        <v>27</v>
      </c>
      <c r="G12" s="6">
        <v>5000</v>
      </c>
      <c r="H12" s="6">
        <v>5000</v>
      </c>
      <c r="I12" s="6">
        <v>2891</v>
      </c>
      <c r="J12" s="6">
        <v>2109</v>
      </c>
      <c r="K12" s="6">
        <v>5000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5">
        <v>44949</v>
      </c>
      <c r="R12" s="33">
        <v>0</v>
      </c>
      <c r="S12" s="6">
        <v>15000</v>
      </c>
      <c r="T12" s="6">
        <f>IF(Q12=0,H12-I12-J12-12-R12,0)</f>
        <v>0</v>
      </c>
      <c r="U12" s="6">
        <f>IF(Q12=0,12-M12-N12-O12,0)</f>
        <v>0</v>
      </c>
      <c r="V12" s="19">
        <f t="shared" si="0"/>
        <v>0</v>
      </c>
    </row>
    <row r="13" spans="1:22" x14ac:dyDescent="0.25">
      <c r="A13" s="9" t="s">
        <v>42</v>
      </c>
      <c r="B13" s="14" t="s">
        <v>43</v>
      </c>
      <c r="C13" s="15">
        <v>42335</v>
      </c>
      <c r="D13" s="15">
        <v>43765</v>
      </c>
      <c r="E13" s="16">
        <v>48</v>
      </c>
      <c r="F13" s="14" t="s">
        <v>27</v>
      </c>
      <c r="G13" s="17">
        <v>3135</v>
      </c>
      <c r="H13" s="17">
        <v>3135</v>
      </c>
      <c r="I13" s="17">
        <v>3135</v>
      </c>
      <c r="J13" s="17">
        <v>0</v>
      </c>
      <c r="K13" s="17">
        <v>3135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5">
        <v>44927</v>
      </c>
      <c r="R13" s="34">
        <v>0</v>
      </c>
      <c r="S13" s="17">
        <v>8000</v>
      </c>
      <c r="T13" s="17">
        <f>IF(Q13=0,H13-I13-J13-13-R13,0)</f>
        <v>0</v>
      </c>
      <c r="U13" s="17">
        <f>IF(Q13=0,13-M13-N13-O13,0)</f>
        <v>0</v>
      </c>
      <c r="V13" s="20">
        <f t="shared" si="0"/>
        <v>0</v>
      </c>
    </row>
    <row r="14" spans="1:22" x14ac:dyDescent="0.25">
      <c r="A14" s="21">
        <v>21820000</v>
      </c>
      <c r="B14" s="22"/>
      <c r="C14" s="22"/>
      <c r="D14" s="22"/>
      <c r="E14" s="22"/>
      <c r="F14" s="22"/>
      <c r="G14" s="23">
        <f t="shared" ref="G14:P14" si="1">SUM(G4:G13)</f>
        <v>45765</v>
      </c>
      <c r="H14" s="23">
        <f t="shared" si="1"/>
        <v>45765</v>
      </c>
      <c r="I14" s="23">
        <f t="shared" si="1"/>
        <v>28717</v>
      </c>
      <c r="J14" s="23">
        <f t="shared" si="1"/>
        <v>6043.79</v>
      </c>
      <c r="K14" s="23">
        <f t="shared" si="1"/>
        <v>34760.79</v>
      </c>
      <c r="L14" s="23">
        <f t="shared" si="1"/>
        <v>11004.21</v>
      </c>
      <c r="M14" s="23">
        <f t="shared" si="1"/>
        <v>0</v>
      </c>
      <c r="N14" s="23">
        <f t="shared" si="1"/>
        <v>0</v>
      </c>
      <c r="O14" s="23">
        <f t="shared" si="1"/>
        <v>0</v>
      </c>
      <c r="P14" s="23">
        <f t="shared" si="1"/>
        <v>0</v>
      </c>
      <c r="Q14" s="22"/>
      <c r="R14" s="35">
        <f>SUM(R4:R13)</f>
        <v>6289.37</v>
      </c>
      <c r="S14" s="22"/>
      <c r="T14" s="23">
        <f>SUM(T4:T13)</f>
        <v>0</v>
      </c>
      <c r="U14" s="23">
        <f>SUM(U4:U13)</f>
        <v>0</v>
      </c>
      <c r="V14" s="24">
        <f>SUM(V4:V13)</f>
        <v>0</v>
      </c>
    </row>
    <row r="15" spans="1:22" x14ac:dyDescent="0.25">
      <c r="R15" s="36"/>
    </row>
    <row r="16" spans="1:22" x14ac:dyDescent="0.25">
      <c r="A16" s="25" t="s">
        <v>44</v>
      </c>
      <c r="B16" s="26"/>
      <c r="C16" s="26"/>
      <c r="D16" s="26"/>
      <c r="E16" s="26"/>
      <c r="F16" s="26"/>
      <c r="G16" s="27">
        <f>(Rupture1_Prix_acquisition)</f>
        <v>45765</v>
      </c>
      <c r="H16" s="27">
        <f>(Rupture1_Base_amortissable)</f>
        <v>45765</v>
      </c>
      <c r="I16" s="27">
        <f>(Rupture1_Amortissement_anterieur)</f>
        <v>28717</v>
      </c>
      <c r="J16" s="27">
        <f>(Rupture1_Amortissement_exercice)</f>
        <v>6043.79</v>
      </c>
      <c r="K16" s="27">
        <f>(Rupture1_Total_amort)</f>
        <v>34760.79</v>
      </c>
      <c r="L16" s="27">
        <f>(Rupture1_VNCEAC)</f>
        <v>11004.21</v>
      </c>
      <c r="M16" s="27">
        <f>(Rupture1_a___d_un_an)</f>
        <v>0</v>
      </c>
      <c r="N16" s="27">
        <f>(Rupture1_de_1_a_5_ans)</f>
        <v>0</v>
      </c>
      <c r="O16" s="27">
        <f>(Rupture1_Plus_de_5_ans)</f>
        <v>0</v>
      </c>
      <c r="P16" s="27">
        <f>(Rupture1_VR)</f>
        <v>0</v>
      </c>
      <c r="Q16" s="26"/>
      <c r="R16" s="37">
        <f>(Rupture1_Valeur_sortie)</f>
        <v>6289.37</v>
      </c>
      <c r="S16" s="26"/>
      <c r="T16" s="27">
        <f>(Rupture1_Controle_1_Total_global)</f>
        <v>0</v>
      </c>
      <c r="U16" s="27">
        <f>(Rupture1_Controle_2_VNC_RAP)</f>
        <v>0</v>
      </c>
      <c r="V16" s="28">
        <f>(Rupture1_Controle_3_Total_amort)</f>
        <v>0</v>
      </c>
    </row>
    <row r="19" spans="8:8" x14ac:dyDescent="0.25">
      <c r="H19" s="6"/>
    </row>
  </sheetData>
  <sheetProtection formatCells="0" formatColumns="0" formatRows="0" insertColumns="0" insertRows="0" insertHyperlinks="0" deleteColumns="0" deleteRows="0" sort="0" autoFilter="0" pivotTables="0"/>
  <mergeCells count="1">
    <mergeCell ref="A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28</vt:i4>
      </vt:variant>
    </vt:vector>
  </HeadingPairs>
  <TitlesOfParts>
    <vt:vector size="29" baseType="lpstr">
      <vt:lpstr>Worksheet</vt:lpstr>
      <vt:lpstr>Rupture1_a___d_un_an</vt:lpstr>
      <vt:lpstr>Rupture1_Amortissement_anterieur</vt:lpstr>
      <vt:lpstr>Rupture1_Amortissement_exercice</vt:lpstr>
      <vt:lpstr>Rupture1_Base_amortissable</vt:lpstr>
      <vt:lpstr>Rupture1_Controle_1_Total_global</vt:lpstr>
      <vt:lpstr>Rupture1_Controle_2_VNC_RAP</vt:lpstr>
      <vt:lpstr>Rupture1_Controle_3_Total_amort</vt:lpstr>
      <vt:lpstr>Rupture1_de_1_a_5_ans</vt:lpstr>
      <vt:lpstr>Rupture1_Plus_de_5_ans</vt:lpstr>
      <vt:lpstr>Rupture1_Prix_acquisition</vt:lpstr>
      <vt:lpstr>Rupture1_Total_amort</vt:lpstr>
      <vt:lpstr>Rupture1_Valeur_sortie</vt:lpstr>
      <vt:lpstr>Rupture1_VNCEAC</vt:lpstr>
      <vt:lpstr>Rupture1_VR</vt:lpstr>
      <vt:lpstr>Rupture2_a___d_un_an</vt:lpstr>
      <vt:lpstr>Rupture2_Amortissement_anterieur</vt:lpstr>
      <vt:lpstr>Rupture2_Amortissement_exercice</vt:lpstr>
      <vt:lpstr>Rupture2_Base_amortissable</vt:lpstr>
      <vt:lpstr>Rupture2_Controle_1_Total_global</vt:lpstr>
      <vt:lpstr>Rupture2_Controle_2_VNC_RAP</vt:lpstr>
      <vt:lpstr>Rupture2_Controle_3_Total_amort</vt:lpstr>
      <vt:lpstr>Rupture2_de_1_a_5_ans</vt:lpstr>
      <vt:lpstr>Rupture2_Plus_de_5_ans</vt:lpstr>
      <vt:lpstr>Rupture2_Prix_acquisition</vt:lpstr>
      <vt:lpstr>Rupture2_Total_amort</vt:lpstr>
      <vt:lpstr>Rupture2_Valeur_sortie</vt:lpstr>
      <vt:lpstr>Rupture2_VNCEAC</vt:lpstr>
      <vt:lpstr>Rupture2_VR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Valentin Pichenaud</cp:lastModifiedBy>
  <dcterms:created xsi:type="dcterms:W3CDTF">2024-02-19T08:21:45Z</dcterms:created>
  <dcterms:modified xsi:type="dcterms:W3CDTF">2024-02-19T16:18:39Z</dcterms:modified>
  <cp:category/>
</cp:coreProperties>
</file>